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rg Docs\Org Info, Forms, Contracts\Closure\Financials\Proforma Cost Report\"/>
    </mc:Choice>
  </mc:AlternateContent>
  <xr:revisionPtr revIDLastSave="0" documentId="13_ncr:1_{E696EFB8-3DE9-480C-97C6-CD7E9AB96026}" xr6:coauthVersionLast="47" xr6:coauthVersionMax="47" xr10:uidLastSave="{00000000-0000-0000-0000-000000000000}"/>
  <bookViews>
    <workbookView xWindow="8076" yWindow="1872" windowWidth="17280" windowHeight="12300" xr2:uid="{00000000-000D-0000-FFFF-FFFF00000000}"/>
  </bookViews>
  <sheets>
    <sheet name="32 Bed Projection" sheetId="1" r:id="rId1"/>
    <sheet name="Staff, notes" sheetId="5" r:id="rId2"/>
  </sheets>
  <definedNames>
    <definedName name="Netinc">'32 Bed Projection'!#REF!</definedName>
    <definedName name="_xlnm.Print_Area" localSheetId="0">'32 Bed Projection'!$A$1:$D$140</definedName>
    <definedName name="_xlnm.Print_Titles" localSheetId="0">'32 Bed Projection'!$2:$2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5" l="1"/>
  <c r="C21" i="5"/>
  <c r="B21" i="5"/>
  <c r="C29" i="1"/>
  <c r="C78" i="1" l="1"/>
  <c r="C75" i="1"/>
  <c r="C23" i="1"/>
  <c r="C27" i="1"/>
  <c r="C50" i="1"/>
  <c r="C64" i="1"/>
  <c r="C106" i="1"/>
  <c r="C105" i="1"/>
  <c r="C45" i="1"/>
  <c r="C24" i="1"/>
  <c r="C54" i="1"/>
  <c r="C32" i="1"/>
  <c r="C22" i="1" l="1"/>
  <c r="C26" i="1" s="1"/>
  <c r="C25" i="1" l="1"/>
  <c r="C100" i="1"/>
  <c r="C99" i="1"/>
  <c r="C71" i="1" l="1"/>
  <c r="C57" i="1"/>
  <c r="C67" i="1"/>
  <c r="C10" i="1"/>
  <c r="C9" i="1"/>
  <c r="C59" i="1"/>
  <c r="C107" i="1" l="1"/>
  <c r="C79" i="1" l="1"/>
  <c r="C66" i="1"/>
  <c r="C38" i="1"/>
  <c r="C40" i="1" s="1"/>
  <c r="C41" i="1"/>
  <c r="C11" i="1" l="1"/>
  <c r="C69" i="1" s="1"/>
  <c r="C77" i="1" l="1"/>
  <c r="C76" i="1"/>
  <c r="C137" i="1" l="1"/>
  <c r="A10" i="1" l="1"/>
  <c r="A9" i="1" l="1"/>
  <c r="C14" i="1" l="1"/>
  <c r="C16" i="1"/>
  <c r="C111" i="1" s="1"/>
  <c r="C15" i="1" l="1"/>
  <c r="C34" i="1" s="1"/>
  <c r="C17" i="1"/>
  <c r="C130" i="1"/>
  <c r="C114" i="1"/>
  <c r="A11" i="1"/>
  <c r="C65" i="1" l="1"/>
  <c r="C35" i="1"/>
  <c r="C122" i="1"/>
  <c r="C108" i="1"/>
  <c r="C51" i="1"/>
  <c r="C56" i="1"/>
  <c r="C55" i="1" s="1"/>
  <c r="C72" i="1" l="1"/>
  <c r="C125" i="1"/>
  <c r="C102" i="1"/>
  <c r="C39" i="1"/>
  <c r="C61" i="1" s="1"/>
  <c r="C117" i="1" l="1"/>
  <c r="C93" i="1"/>
  <c r="C119" i="1"/>
  <c r="C7" i="1" l="1"/>
  <c r="C132" i="1"/>
  <c r="C1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Adkins</author>
  </authors>
  <commentList>
    <comment ref="D10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Deborah Adkins:</t>
        </r>
        <r>
          <rPr>
            <sz val="9"/>
            <color indexed="81"/>
            <rFont val="Tahoma"/>
            <family val="2"/>
          </rPr>
          <t xml:space="preserve">
* 590 new Symquest division lease
*Xerox 60/mo</t>
        </r>
      </text>
    </comment>
    <comment ref="D106" authorId="0" shapeId="0" xr:uid="{470089DF-8335-4D8B-BDE1-19CC27786556}">
      <text>
        <r>
          <rPr>
            <b/>
            <sz val="9"/>
            <color indexed="81"/>
            <rFont val="Tahoma"/>
            <family val="2"/>
          </rPr>
          <t>Deborah Adkins:</t>
        </r>
        <r>
          <rPr>
            <sz val="9"/>
            <color indexed="81"/>
            <rFont val="Tahoma"/>
            <family val="2"/>
          </rPr>
          <t xml:space="preserve">
payroll $150 mo, 
PCC $381 mo, 
Metrix $2000
QBO $160</t>
        </r>
      </text>
    </comment>
  </commentList>
</comments>
</file>

<file path=xl/sharedStrings.xml><?xml version="1.0" encoding="utf-8"?>
<sst xmlns="http://schemas.openxmlformats.org/spreadsheetml/2006/main" count="261" uniqueCount="259">
  <si>
    <t>INCOME</t>
  </si>
  <si>
    <t>DESCRIPTION</t>
  </si>
  <si>
    <t>TOTAL INCOME</t>
  </si>
  <si>
    <t>TOTAL RESIDENT CARE</t>
  </si>
  <si>
    <t>DIETARY</t>
  </si>
  <si>
    <t>TOTAL DIETARY</t>
  </si>
  <si>
    <t>ADMINISTRATION</t>
  </si>
  <si>
    <t>TOTAL ADMINISTRATION</t>
  </si>
  <si>
    <t>TOTAL FRINGE BENEFITS</t>
  </si>
  <si>
    <t>OTHER ADMIN COSTS</t>
  </si>
  <si>
    <t>TOTAL FIXED COSTS</t>
  </si>
  <si>
    <t>TOTAL NET INCOME</t>
  </si>
  <si>
    <t>PATIENT DAYS</t>
  </si>
  <si>
    <t xml:space="preserve"> </t>
  </si>
  <si>
    <t>DAYS-PRIVATE-RC</t>
  </si>
  <si>
    <t>INCOME FROM CONTRIBUTION</t>
  </si>
  <si>
    <t>TOTAL CONTRIBUTION INCOME</t>
  </si>
  <si>
    <t>DAYS-MEDICAID-RC</t>
  </si>
  <si>
    <t>% Medicaid RC</t>
  </si>
  <si>
    <t>% Private RC</t>
  </si>
  <si>
    <t>days * rate</t>
  </si>
  <si>
    <t>NET INC BEFORE CONTRIBUTIONS</t>
  </si>
  <si>
    <t>Net Income before Contributions</t>
  </si>
  <si>
    <t>based on census and rate</t>
  </si>
  <si>
    <t>HR &amp; FRINGE BENEFITS</t>
  </si>
  <si>
    <t>Benefits - Rescare</t>
  </si>
  <si>
    <t>6% of net Res Care revenue</t>
  </si>
  <si>
    <t>incr. waste removal</t>
  </si>
  <si>
    <t>Notes</t>
  </si>
  <si>
    <t>Census, Rescare</t>
  </si>
  <si>
    <t>Medicaid - Rescare</t>
  </si>
  <si>
    <t>01-3010-220</t>
  </si>
  <si>
    <t>Private Pay - Rescare</t>
  </si>
  <si>
    <t>01-3061-220</t>
  </si>
  <si>
    <t>Medicaid Contractual - Rescare</t>
  </si>
  <si>
    <t>01-3510-220</t>
  </si>
  <si>
    <t>Activity Contributions</t>
  </si>
  <si>
    <t>01-4023-310</t>
  </si>
  <si>
    <t>Empl Apprec. Contrib</t>
  </si>
  <si>
    <t>01-4024-620</t>
  </si>
  <si>
    <t>Annual Fund</t>
  </si>
  <si>
    <t>01-4022-110</t>
  </si>
  <si>
    <t>Unrestricted Interest &amp; Dividends</t>
  </si>
  <si>
    <t>01-4330-140</t>
  </si>
  <si>
    <t>Depreciation Exp</t>
  </si>
  <si>
    <t>01-6042-000</t>
  </si>
  <si>
    <t>Insurance Expense</t>
  </si>
  <si>
    <t>01-6060-000</t>
  </si>
  <si>
    <t>Payroll Taxes</t>
  </si>
  <si>
    <t>Medical Director Fees</t>
  </si>
  <si>
    <t>01-5130-210</t>
  </si>
  <si>
    <t>01-5001-220</t>
  </si>
  <si>
    <t>01-5006-220</t>
  </si>
  <si>
    <t>01-5010-220</t>
  </si>
  <si>
    <t>01-5080-220</t>
  </si>
  <si>
    <t>01-5050-220</t>
  </si>
  <si>
    <t>Supplies - Rescare</t>
  </si>
  <si>
    <t>01-5140-220</t>
  </si>
  <si>
    <t>Pharmacy Consultant - Res</t>
  </si>
  <si>
    <t>01-5190-220</t>
  </si>
  <si>
    <t>Provider Tax</t>
  </si>
  <si>
    <t>01-6030-220</t>
  </si>
  <si>
    <t>Dues and Subscriptions</t>
  </si>
  <si>
    <t>Maint Supplies/Repairs</t>
  </si>
  <si>
    <t>01-5510-510</t>
  </si>
  <si>
    <t>Benefits - Maint</t>
  </si>
  <si>
    <t>01-5080-510</t>
  </si>
  <si>
    <t>01-5050-510</t>
  </si>
  <si>
    <t>01-5010-510</t>
  </si>
  <si>
    <t>01-5000-510</t>
  </si>
  <si>
    <t>Electricity</t>
  </si>
  <si>
    <t>01-5511-510</t>
  </si>
  <si>
    <t>01-5512-510</t>
  </si>
  <si>
    <t>01-5513-510</t>
  </si>
  <si>
    <t>Grounds</t>
  </si>
  <si>
    <t>01-5516-510</t>
  </si>
  <si>
    <t>Snow Removal</t>
  </si>
  <si>
    <t>01-5515-510</t>
  </si>
  <si>
    <t>Vehicle Exp</t>
  </si>
  <si>
    <t>01-5514-510</t>
  </si>
  <si>
    <t>Water Treatment/Testing</t>
  </si>
  <si>
    <t>01-5520-510</t>
  </si>
  <si>
    <t>Septic System</t>
  </si>
  <si>
    <t>01-5519-510</t>
  </si>
  <si>
    <t>Biohazard Waste Removal</t>
  </si>
  <si>
    <t>01-5518-510</t>
  </si>
  <si>
    <t>Garbage Removal</t>
  </si>
  <si>
    <t>01-5517-510</t>
  </si>
  <si>
    <t>Supplies - Hskp</t>
  </si>
  <si>
    <t>01-5140-520</t>
  </si>
  <si>
    <t>Benefits - Hskp</t>
  </si>
  <si>
    <t>01-5080-520</t>
  </si>
  <si>
    <t>01-5050-520</t>
  </si>
  <si>
    <t>01-5010-520</t>
  </si>
  <si>
    <t>01-5000-520</t>
  </si>
  <si>
    <t>Supplies - Laundry</t>
  </si>
  <si>
    <t>01-5140-525</t>
  </si>
  <si>
    <t>Linen, Bedding, Etc.</t>
  </si>
  <si>
    <t>01-5155-525</t>
  </si>
  <si>
    <t>Consultant - Dietary</t>
  </si>
  <si>
    <t>01-5180-530</t>
  </si>
  <si>
    <t>Dishes and Silverware</t>
  </si>
  <si>
    <t>01-5160-530</t>
  </si>
  <si>
    <t>Food - Dietary</t>
  </si>
  <si>
    <t>01-5150-530</t>
  </si>
  <si>
    <t>Supplies - Dietary</t>
  </si>
  <si>
    <t>01-5140-530</t>
  </si>
  <si>
    <t>Benefits - Dietary</t>
  </si>
  <si>
    <t>01-5080-530</t>
  </si>
  <si>
    <t>01-5050-530</t>
  </si>
  <si>
    <t>01-5010-530</t>
  </si>
  <si>
    <t>01-5000-530</t>
  </si>
  <si>
    <t>01-5010-610</t>
  </si>
  <si>
    <t>01-5000-610</t>
  </si>
  <si>
    <t>01-5050-610</t>
  </si>
  <si>
    <t>Benefits - Admin</t>
  </si>
  <si>
    <t>01-5080-610</t>
  </si>
  <si>
    <t>License Fees</t>
  </si>
  <si>
    <t>01-5095-610</t>
  </si>
  <si>
    <t>Consultant - Admin</t>
  </si>
  <si>
    <t>01-5180-610</t>
  </si>
  <si>
    <t>01-5186-610</t>
  </si>
  <si>
    <t>Legal Fees</t>
  </si>
  <si>
    <t>01-5185-610</t>
  </si>
  <si>
    <t>Postage</t>
  </si>
  <si>
    <t>01-5300-610</t>
  </si>
  <si>
    <t>Travel - Admin</t>
  </si>
  <si>
    <t>01-5400-610</t>
  </si>
  <si>
    <t>Telephone</t>
  </si>
  <si>
    <t>01-5610-610</t>
  </si>
  <si>
    <t>01-6010-610</t>
  </si>
  <si>
    <t>Penalties</t>
  </si>
  <si>
    <t>01-6011-610</t>
  </si>
  <si>
    <t>Short-Term Interest</t>
  </si>
  <si>
    <t>01-6046-610</t>
  </si>
  <si>
    <t>Unemployment Insurance</t>
  </si>
  <si>
    <t>01-5081-620</t>
  </si>
  <si>
    <t>Employee Medical Service</t>
  </si>
  <si>
    <t>01-5083-620</t>
  </si>
  <si>
    <t>Employee Background Check</t>
  </si>
  <si>
    <t>01-5085-620</t>
  </si>
  <si>
    <t>01-5315-620</t>
  </si>
  <si>
    <t>Interest</t>
  </si>
  <si>
    <t>01-4220-140</t>
  </si>
  <si>
    <t>01-5080-620</t>
  </si>
  <si>
    <t>Education - Admin &amp; Other</t>
  </si>
  <si>
    <t>01-5410-610</t>
  </si>
  <si>
    <t>Office Supplies</t>
  </si>
  <si>
    <t>01-5200-610</t>
  </si>
  <si>
    <t>01-5084-620</t>
  </si>
  <si>
    <t>01-5310-630</t>
  </si>
  <si>
    <t>TOTAL RESCARE PAYROLL EXPENSE</t>
  </si>
  <si>
    <t>RESCARE PAYROLL EXPENSE</t>
  </si>
  <si>
    <t>RESCARE DEPT EXPENSES</t>
  </si>
  <si>
    <t>IT DEPT</t>
  </si>
  <si>
    <t>TOTAL IT EXPENSE</t>
  </si>
  <si>
    <t>01-5320-640</t>
  </si>
  <si>
    <t>01-5325-640</t>
  </si>
  <si>
    <t>01-5620-640</t>
  </si>
  <si>
    <t>02-4330-140</t>
  </si>
  <si>
    <t>all empl every 5 yrs starting FY18</t>
  </si>
  <si>
    <t>Middleton fund available</t>
  </si>
  <si>
    <t>01-3531-220</t>
  </si>
  <si>
    <t>Bad Debt Expense - Rescare</t>
  </si>
  <si>
    <t>EARNINGS &amp; ADJUSTMTS</t>
  </si>
  <si>
    <t>01-6040-610</t>
  </si>
  <si>
    <t>Bank Charges</t>
  </si>
  <si>
    <t>Worked Salaries - Admin Dept</t>
  </si>
  <si>
    <t>Res/care Aides Worked Salary</t>
  </si>
  <si>
    <t>Benefit Wages - Rescare</t>
  </si>
  <si>
    <t>01-5410-510</t>
  </si>
  <si>
    <t>Education - Maintenance</t>
  </si>
  <si>
    <t>Worked Salaries - Maint</t>
  </si>
  <si>
    <t>Benefit Wages - Maint</t>
  </si>
  <si>
    <t>Heating Expense</t>
  </si>
  <si>
    <t>Gas (Propane)</t>
  </si>
  <si>
    <t>Worked Salaries - Hskp</t>
  </si>
  <si>
    <t>Benefit Wages - Hskp</t>
  </si>
  <si>
    <t>Worked Salaries - Dietary</t>
  </si>
  <si>
    <t>Benefit Wages - Dietary</t>
  </si>
  <si>
    <t>Benefit Wages - Admin</t>
  </si>
  <si>
    <t>Accounting Expense</t>
  </si>
  <si>
    <t>Printing - Marketing Purpose</t>
  </si>
  <si>
    <t>Employee Appreciation</t>
  </si>
  <si>
    <t>Worker's Comp Premiums Expense</t>
  </si>
  <si>
    <t>Advertising - HR</t>
  </si>
  <si>
    <t>Equip Lease - IT Dept</t>
  </si>
  <si>
    <t>Data Processing - IT Dept</t>
  </si>
  <si>
    <t>Web/Internet - IT Dept</t>
  </si>
  <si>
    <t>Endowment Interest &amp; Dividends</t>
  </si>
  <si>
    <t>ave 5.5% of revenue</t>
  </si>
  <si>
    <t>Payroll Taxes - Maint</t>
  </si>
  <si>
    <t>Payroll Taxes - Hskp</t>
  </si>
  <si>
    <t>TOTAL ENVIRONMENTAL SERVICES</t>
  </si>
  <si>
    <t>ENVIRONMENTAL SERVICES</t>
  </si>
  <si>
    <t>TOTAL INVEST &amp; ADJUST - URNA</t>
  </si>
  <si>
    <t>Net Income plus Restricted</t>
  </si>
  <si>
    <t>Restricted &amp; Temp Restr. Activity</t>
  </si>
  <si>
    <t>Total Restricted Activity</t>
  </si>
  <si>
    <t>Daily Avg:</t>
  </si>
  <si>
    <t>RC Census</t>
  </si>
  <si>
    <t>estim daily rate $126</t>
  </si>
  <si>
    <t>Position</t>
  </si>
  <si>
    <t>Residential Care</t>
  </si>
  <si>
    <t>Per Diem</t>
  </si>
  <si>
    <t>Pharmacy Consultant</t>
  </si>
  <si>
    <t>Medical Director</t>
  </si>
  <si>
    <t>Dietary Cook</t>
  </si>
  <si>
    <t>Registered Dietician</t>
  </si>
  <si>
    <t xml:space="preserve">Environmental Service </t>
  </si>
  <si>
    <t>Laundry/Hskp</t>
  </si>
  <si>
    <t>Maintenance Director</t>
  </si>
  <si>
    <t>Administration</t>
  </si>
  <si>
    <t>Budget</t>
  </si>
  <si>
    <t>$7 ppd</t>
  </si>
  <si>
    <t>RC 800 -  odd yrs only</t>
  </si>
  <si>
    <t>Berry Dunn (review and consulting)</t>
  </si>
  <si>
    <t>mostly MHCA</t>
  </si>
  <si>
    <t>Consultant position</t>
  </si>
  <si>
    <t>estimate $250/mo</t>
  </si>
  <si>
    <t>Res Care Dir</t>
  </si>
  <si>
    <t>32 RC</t>
  </si>
  <si>
    <t>Estimate $65/mo * beds</t>
  </si>
  <si>
    <t>garden maintenance, mowing</t>
  </si>
  <si>
    <t>$1k/mo</t>
  </si>
  <si>
    <t>1 FT position, $20/hr</t>
  </si>
  <si>
    <t>10% BT</t>
  </si>
  <si>
    <t>1 FTE, $30/hr, Maintenance/Custodian</t>
  </si>
  <si>
    <t>incl estimate for added clothes dryers</t>
  </si>
  <si>
    <t>22,160 gal @ $4.50</t>
  </si>
  <si>
    <t>software, network admin, payroll</t>
  </si>
  <si>
    <t>RC Director Worked Salary</t>
  </si>
  <si>
    <t>expect $900/mo for single</t>
  </si>
  <si>
    <t>12 hrs/da, $20/hr (+$1 head cook diff)</t>
  </si>
  <si>
    <t>includes custodian duties</t>
  </si>
  <si>
    <t>weekday housekeeper - residents, volunteers, and CRMAs can do laundry</t>
  </si>
  <si>
    <t>12 hr shifts, 1 head cook does ordering</t>
  </si>
  <si>
    <t>as needed for coverage</t>
  </si>
  <si>
    <t>Other</t>
  </si>
  <si>
    <t>9.8 FTE: 3 day, 2 evening, 2 overnight - assist with housekeeping and laundry duties</t>
  </si>
  <si>
    <t>$50/hr, 1FTE (or $30/hr hrly plus OT)</t>
  </si>
  <si>
    <t>7 shft/da (3da,2ev,2nt), $25/hr. 9.8 FTE</t>
  </si>
  <si>
    <t>Was $12k, seek local option</t>
  </si>
  <si>
    <t>Total of % in these 2 lines = 100%</t>
  </si>
  <si>
    <t>FT</t>
  </si>
  <si>
    <t>PT</t>
  </si>
  <si>
    <t>Dietary Services</t>
  </si>
  <si>
    <t>incl $1500 for use of dump</t>
  </si>
  <si>
    <t>RN - Rescare</t>
  </si>
  <si>
    <t>$40/hr 1 FTE. Clinical, admissions</t>
  </si>
  <si>
    <t>1 FTE Business Mgr, up to $30/hr. 
HR, Finance, Volunteers, etc.</t>
  </si>
  <si>
    <t>RC Private Room Rate</t>
  </si>
  <si>
    <t>EXPENSES</t>
  </si>
  <si>
    <t xml:space="preserve">RN </t>
  </si>
  <si>
    <t>Business Mgr</t>
  </si>
  <si>
    <t>Resident admission touring, decision; Regulatory compliance; Facility oversight; Audits, legal, financial &amp;HR reporting, nonprofit &amp; HR regs</t>
  </si>
  <si>
    <t>Admission financial ppwk; AR, Billing, collections; AP, ordering assistance; Payroll; Activity calendar, volunteer coordination; Reception, mail</t>
  </si>
  <si>
    <t>Staff hiring, firing, reviews, scheduling; Clinical oversight</t>
  </si>
  <si>
    <t>CRMA (1:12; 1:18; 1:30)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</si>
</sst>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_);_(&quot;$&quot;* \(#,##0.00\);_(&quot;$&quot;* &quot;-&quot;_);_(@_)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MS Sans Serif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1D2228"/>
      <name val="Calibri"/>
      <family val="2"/>
      <scheme val="minor"/>
    </font>
    <font>
      <b/>
      <u/>
      <sz val="12"/>
      <color rgb="FF1D222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9" applyNumberFormat="0" applyAlignment="0" applyProtection="0"/>
    <xf numFmtId="0" fontId="7" fillId="28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9" applyNumberFormat="0" applyAlignment="0" applyProtection="0"/>
    <xf numFmtId="0" fontId="14" fillId="0" borderId="14" applyNumberFormat="0" applyFill="0" applyAlignment="0" applyProtection="0"/>
    <xf numFmtId="0" fontId="15" fillId="31" borderId="0" applyNumberFormat="0" applyBorder="0" applyAlignment="0" applyProtection="0"/>
    <xf numFmtId="0" fontId="3" fillId="32" borderId="15" applyNumberFormat="0" applyFont="0" applyAlignment="0" applyProtection="0"/>
    <xf numFmtId="0" fontId="16" fillId="27" borderId="16" applyNumberFormat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</cellStyleXfs>
  <cellXfs count="120">
    <xf numFmtId="0" fontId="0" fillId="0" borderId="0" xfId="0"/>
    <xf numFmtId="0" fontId="0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left"/>
      <protection locked="0"/>
    </xf>
    <xf numFmtId="0" fontId="0" fillId="33" borderId="3" xfId="0" applyFont="1" applyFill="1" applyBorder="1" applyAlignment="1">
      <alignment horizontal="center"/>
    </xf>
    <xf numFmtId="0" fontId="0" fillId="33" borderId="4" xfId="0" applyFont="1" applyFill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/>
    <xf numFmtId="164" fontId="0" fillId="0" borderId="0" xfId="0" applyNumberFormat="1" applyFont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43" fontId="0" fillId="0" borderId="0" xfId="0" applyNumberFormat="1" applyFont="1" applyAlignment="1" applyProtection="1">
      <alignment horizontal="left"/>
      <protection locked="0"/>
    </xf>
    <xf numFmtId="44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44" fontId="0" fillId="0" borderId="0" xfId="0" applyNumberFormat="1" applyFont="1" applyFill="1" applyAlignment="1" applyProtection="1">
      <alignment horizontal="left"/>
      <protection locked="0"/>
    </xf>
    <xf numFmtId="42" fontId="0" fillId="34" borderId="19" xfId="0" applyNumberFormat="1" applyFont="1" applyFill="1" applyBorder="1" applyAlignment="1">
      <alignment horizontal="right"/>
    </xf>
    <xf numFmtId="43" fontId="0" fillId="0" borderId="18" xfId="29" applyNumberFormat="1" applyFont="1" applyFill="1" applyBorder="1" applyAlignment="1" applyProtection="1">
      <alignment horizontal="right"/>
      <protection locked="0"/>
    </xf>
    <xf numFmtId="43" fontId="18" fillId="0" borderId="20" xfId="29" applyNumberFormat="1" applyFont="1" applyFill="1" applyBorder="1" applyAlignment="1">
      <alignment horizontal="right"/>
    </xf>
    <xf numFmtId="0" fontId="0" fillId="36" borderId="0" xfId="0" applyFont="1" applyFill="1"/>
    <xf numFmtId="0" fontId="18" fillId="36" borderId="0" xfId="0" applyFont="1" applyFill="1" applyAlignment="1">
      <alignment horizontal="center"/>
    </xf>
    <xf numFmtId="0" fontId="21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2" fontId="21" fillId="36" borderId="0" xfId="0" applyNumberFormat="1" applyFont="1" applyFill="1" applyAlignment="1">
      <alignment horizontal="left" vertical="center"/>
    </xf>
    <xf numFmtId="0" fontId="0" fillId="36" borderId="0" xfId="0" applyFont="1" applyFill="1" applyAlignment="1">
      <alignment horizontal="center"/>
    </xf>
    <xf numFmtId="43" fontId="0" fillId="0" borderId="0" xfId="29" applyNumberFormat="1" applyFont="1" applyFill="1" applyBorder="1" applyAlignment="1" applyProtection="1">
      <alignment horizontal="right"/>
      <protection locked="0"/>
    </xf>
    <xf numFmtId="43" fontId="0" fillId="0" borderId="0" xfId="29" applyNumberFormat="1" applyFont="1" applyFill="1" applyBorder="1" applyAlignment="1">
      <alignment horizontal="right"/>
    </xf>
    <xf numFmtId="44" fontId="18" fillId="0" borderId="2" xfId="29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0" fontId="0" fillId="35" borderId="8" xfId="41" applyNumberFormat="1" applyFont="1" applyFill="1" applyBorder="1" applyAlignment="1" applyProtection="1">
      <alignment horizontal="right"/>
      <protection locked="0"/>
    </xf>
    <xf numFmtId="44" fontId="0" fillId="35" borderId="0" xfId="29" applyFont="1" applyFill="1" applyBorder="1" applyAlignment="1" applyProtection="1">
      <alignment horizontal="right"/>
      <protection locked="0"/>
    </xf>
    <xf numFmtId="10" fontId="0" fillId="35" borderId="6" xfId="41" applyNumberFormat="1" applyFont="1" applyFill="1" applyBorder="1" applyAlignment="1" applyProtection="1">
      <alignment horizontal="right"/>
      <protection locked="0"/>
    </xf>
    <xf numFmtId="43" fontId="0" fillId="0" borderId="0" xfId="0" applyNumberFormat="1" applyFont="1" applyFill="1" applyBorder="1" applyAlignment="1">
      <alignment horizontal="right"/>
    </xf>
    <xf numFmtId="43" fontId="0" fillId="37" borderId="0" xfId="29" applyNumberFormat="1" applyFont="1" applyFill="1" applyBorder="1" applyAlignment="1">
      <alignment horizontal="right"/>
    </xf>
    <xf numFmtId="43" fontId="0" fillId="37" borderId="0" xfId="29" applyNumberFormat="1" applyFont="1" applyFill="1" applyBorder="1" applyAlignment="1" applyProtection="1">
      <alignment horizontal="right"/>
      <protection locked="0"/>
    </xf>
    <xf numFmtId="43" fontId="18" fillId="0" borderId="0" xfId="29" applyNumberFormat="1" applyFont="1" applyFill="1" applyBorder="1" applyAlignment="1">
      <alignment horizontal="right"/>
    </xf>
    <xf numFmtId="43" fontId="18" fillId="0" borderId="0" xfId="29" applyNumberFormat="1" applyFont="1" applyFill="1" applyBorder="1" applyAlignment="1" applyProtection="1">
      <alignment horizontal="right"/>
      <protection locked="0"/>
    </xf>
    <xf numFmtId="43" fontId="0" fillId="0" borderId="0" xfId="0" applyNumberFormat="1" applyFont="1" applyFill="1" applyBorder="1" applyAlignment="1" applyProtection="1">
      <alignment horizontal="right"/>
      <protection locked="0"/>
    </xf>
    <xf numFmtId="43" fontId="0" fillId="37" borderId="0" xfId="29" applyNumberFormat="1" applyFont="1" applyFill="1" applyBorder="1"/>
    <xf numFmtId="7" fontId="18" fillId="0" borderId="0" xfId="29" applyNumberFormat="1" applyFont="1" applyFill="1" applyBorder="1" applyAlignment="1">
      <alignment horizontal="right"/>
    </xf>
    <xf numFmtId="43" fontId="18" fillId="37" borderId="20" xfId="29" applyNumberFormat="1" applyFont="1" applyFill="1" applyBorder="1" applyAlignment="1">
      <alignment horizontal="right"/>
    </xf>
    <xf numFmtId="43" fontId="22" fillId="37" borderId="20" xfId="29" applyNumberFormat="1" applyFont="1" applyFill="1" applyBorder="1" applyAlignment="1">
      <alignment horizontal="right" vertical="center"/>
    </xf>
    <xf numFmtId="165" fontId="18" fillId="37" borderId="1" xfId="29" applyNumberFormat="1" applyFont="1" applyFill="1" applyBorder="1" applyAlignment="1">
      <alignment horizontal="right"/>
    </xf>
    <xf numFmtId="7" fontId="18" fillId="37" borderId="20" xfId="29" applyNumberFormat="1" applyFont="1" applyFill="1" applyBorder="1" applyAlignment="1">
      <alignment horizontal="right"/>
    </xf>
    <xf numFmtId="44" fontId="18" fillId="37" borderId="2" xfId="29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6" fontId="0" fillId="37" borderId="0" xfId="28" applyNumberFormat="1" applyFont="1" applyFill="1" applyBorder="1" applyAlignment="1">
      <alignment horizontal="right" vertical="center"/>
    </xf>
    <xf numFmtId="43" fontId="0" fillId="0" borderId="21" xfId="29" applyNumberFormat="1" applyFont="1" applyFill="1" applyBorder="1" applyAlignment="1">
      <alignment horizontal="right"/>
    </xf>
    <xf numFmtId="43" fontId="18" fillId="37" borderId="22" xfId="29" applyNumberFormat="1" applyFont="1" applyFill="1" applyBorder="1" applyAlignment="1">
      <alignment horizontal="right"/>
    </xf>
    <xf numFmtId="43" fontId="0" fillId="0" borderId="24" xfId="29" applyNumberFormat="1" applyFont="1" applyFill="1" applyBorder="1" applyAlignment="1">
      <alignment horizontal="right"/>
    </xf>
    <xf numFmtId="10" fontId="0" fillId="33" borderId="8" xfId="41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" fontId="18" fillId="37" borderId="1" xfId="0" applyNumberFormat="1" applyFont="1" applyFill="1" applyBorder="1" applyAlignment="1">
      <alignment horizontal="right" vertical="center"/>
    </xf>
    <xf numFmtId="43" fontId="18" fillId="37" borderId="6" xfId="29" applyNumberFormat="1" applyFont="1" applyFill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44" fontId="18" fillId="37" borderId="6" xfId="29" applyFont="1" applyFill="1" applyBorder="1" applyAlignment="1">
      <alignment horizontal="right"/>
    </xf>
    <xf numFmtId="0" fontId="0" fillId="34" borderId="19" xfId="0" applyFont="1" applyFill="1" applyBorder="1" applyAlignment="1">
      <alignment horizontal="center"/>
    </xf>
    <xf numFmtId="0" fontId="18" fillId="0" borderId="18" xfId="0" applyFont="1" applyBorder="1" applyAlignment="1">
      <alignment horizontal="left"/>
    </xf>
    <xf numFmtId="166" fontId="0" fillId="0" borderId="0" xfId="0" applyNumberFormat="1" applyFont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Fill="1" applyAlignment="1" applyProtection="1">
      <alignment horizontal="left"/>
      <protection locked="0"/>
    </xf>
    <xf numFmtId="16" fontId="0" fillId="0" borderId="0" xfId="0" quotePrefix="1" applyNumberFormat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wrapText="1"/>
    </xf>
    <xf numFmtId="0" fontId="0" fillId="0" borderId="33" xfId="0" applyBorder="1"/>
    <xf numFmtId="0" fontId="26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32" xfId="0" applyFont="1" applyBorder="1" applyAlignment="1">
      <alignment vertical="center"/>
    </xf>
    <xf numFmtId="0" fontId="25" fillId="0" borderId="32" xfId="0" applyFont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/>
    </xf>
    <xf numFmtId="0" fontId="26" fillId="0" borderId="42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/>
    <xf numFmtId="0" fontId="0" fillId="0" borderId="46" xfId="0" applyBorder="1" applyAlignment="1">
      <alignment wrapText="1"/>
    </xf>
    <xf numFmtId="0" fontId="25" fillId="0" borderId="6" xfId="0" applyFont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3" fontId="18" fillId="37" borderId="23" xfId="29" applyNumberFormat="1" applyFont="1" applyFill="1" applyBorder="1" applyAlignment="1">
      <alignment horizontal="right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5" xr:uid="{00000000-0005-0000-0000-000027000000}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6"/>
  <sheetViews>
    <sheetView tabSelected="1" zoomScaleNormal="100" workbookViewId="0">
      <pane xSplit="2" ySplit="2" topLeftCell="C5" activePane="bottomRight" state="frozen"/>
      <selection pane="topRight" activeCell="C1" sqref="C1"/>
      <selection pane="bottomLeft" activeCell="A2" sqref="A2"/>
      <selection pane="bottomRight" activeCell="D10" sqref="D10"/>
    </sheetView>
  </sheetViews>
  <sheetFormatPr defaultColWidth="9.109375" defaultRowHeight="14.4" x14ac:dyDescent="0.3"/>
  <cols>
    <col min="1" max="1" width="12.109375" style="1" bestFit="1" customWidth="1"/>
    <col min="2" max="2" width="32.5546875" style="1" bestFit="1" customWidth="1"/>
    <col min="3" max="3" width="14.77734375" style="34" bestFit="1" customWidth="1"/>
    <col min="4" max="4" width="33.109375" style="36" customWidth="1"/>
    <col min="5" max="16384" width="9.109375" style="1"/>
  </cols>
  <sheetData>
    <row r="1" spans="1:5" ht="15" thickBot="1" x14ac:dyDescent="0.35">
      <c r="C1" s="73">
        <v>32</v>
      </c>
      <c r="D1" s="74" t="s">
        <v>200</v>
      </c>
    </row>
    <row r="2" spans="1:5" s="7" customFormat="1" x14ac:dyDescent="0.3">
      <c r="A2" s="57"/>
      <c r="B2" s="3" t="s">
        <v>1</v>
      </c>
      <c r="C2" s="39" t="s">
        <v>213</v>
      </c>
      <c r="D2" s="5" t="s">
        <v>28</v>
      </c>
    </row>
    <row r="3" spans="1:5" x14ac:dyDescent="0.3">
      <c r="A3" s="38"/>
      <c r="B3" s="4" t="s">
        <v>29</v>
      </c>
      <c r="C3" s="62">
        <v>0.95</v>
      </c>
      <c r="D3" s="65"/>
    </row>
    <row r="4" spans="1:5" x14ac:dyDescent="0.3">
      <c r="A4" s="38"/>
      <c r="B4" s="56" t="s">
        <v>251</v>
      </c>
      <c r="C4" s="41">
        <v>235</v>
      </c>
      <c r="D4" s="80"/>
    </row>
    <row r="5" spans="1:5" ht="15" customHeight="1" x14ac:dyDescent="0.3">
      <c r="B5" s="9" t="s">
        <v>18</v>
      </c>
      <c r="C5" s="42">
        <v>0.78</v>
      </c>
      <c r="D5" s="114" t="s">
        <v>243</v>
      </c>
    </row>
    <row r="6" spans="1:5" x14ac:dyDescent="0.3">
      <c r="B6" s="10" t="s">
        <v>19</v>
      </c>
      <c r="C6" s="40">
        <v>0.22</v>
      </c>
      <c r="D6" s="115"/>
    </row>
    <row r="7" spans="1:5" ht="15" thickBot="1" x14ac:dyDescent="0.35">
      <c r="B7" s="2"/>
      <c r="C7" s="20">
        <f>C119</f>
        <v>-508153.54160000011</v>
      </c>
      <c r="D7" s="11" t="s">
        <v>22</v>
      </c>
    </row>
    <row r="8" spans="1:5" x14ac:dyDescent="0.3">
      <c r="A8" s="1" t="s">
        <v>199</v>
      </c>
      <c r="B8" s="3" t="s">
        <v>12</v>
      </c>
      <c r="D8" s="6"/>
    </row>
    <row r="9" spans="1:5" x14ac:dyDescent="0.3">
      <c r="A9" s="75">
        <f>C9/365</f>
        <v>23.712000000000003</v>
      </c>
      <c r="B9" s="1" t="s">
        <v>17</v>
      </c>
      <c r="C9" s="58">
        <f>365*C$1*C$3*C5</f>
        <v>8654.880000000001</v>
      </c>
      <c r="D9" s="13"/>
    </row>
    <row r="10" spans="1:5" x14ac:dyDescent="0.3">
      <c r="A10" s="75">
        <f>C10/365</f>
        <v>6.6879999999999997</v>
      </c>
      <c r="B10" s="1" t="s">
        <v>14</v>
      </c>
      <c r="C10" s="58">
        <f>365*C$1*C$3*C6</f>
        <v>2441.12</v>
      </c>
      <c r="D10" s="11"/>
    </row>
    <row r="11" spans="1:5" x14ac:dyDescent="0.3">
      <c r="A11" s="76">
        <f>SUM(A9:A10)</f>
        <v>30.400000000000002</v>
      </c>
      <c r="C11" s="68">
        <f>SUM(C9:C10)</f>
        <v>11096</v>
      </c>
      <c r="D11" s="11"/>
    </row>
    <row r="12" spans="1:5" x14ac:dyDescent="0.3">
      <c r="C12" s="43"/>
      <c r="D12" s="11"/>
    </row>
    <row r="13" spans="1:5" x14ac:dyDescent="0.3">
      <c r="A13" s="29"/>
      <c r="B13" s="24" t="s">
        <v>0</v>
      </c>
      <c r="C13" s="43"/>
      <c r="D13" s="11"/>
    </row>
    <row r="14" spans="1:5" x14ac:dyDescent="0.3">
      <c r="A14" s="25" t="s">
        <v>31</v>
      </c>
      <c r="B14" s="25" t="s">
        <v>30</v>
      </c>
      <c r="C14" s="44">
        <f>C4*C9</f>
        <v>2033896.8000000003</v>
      </c>
      <c r="D14" s="11" t="s">
        <v>20</v>
      </c>
    </row>
    <row r="15" spans="1:5" x14ac:dyDescent="0.3">
      <c r="A15" s="28" t="s">
        <v>35</v>
      </c>
      <c r="B15" s="25" t="s">
        <v>34</v>
      </c>
      <c r="C15" s="44">
        <f>(126*C9)-C14</f>
        <v>-943381.92000000016</v>
      </c>
      <c r="D15" s="11" t="s">
        <v>201</v>
      </c>
      <c r="E15" s="77"/>
    </row>
    <row r="16" spans="1:5" x14ac:dyDescent="0.3">
      <c r="A16" s="25" t="s">
        <v>33</v>
      </c>
      <c r="B16" s="25" t="s">
        <v>32</v>
      </c>
      <c r="C16" s="44">
        <f>C10*C4</f>
        <v>573663.19999999995</v>
      </c>
      <c r="D16" s="15" t="s">
        <v>23</v>
      </c>
    </row>
    <row r="17" spans="1:4" x14ac:dyDescent="0.3">
      <c r="A17" s="29"/>
      <c r="B17" s="24" t="s">
        <v>2</v>
      </c>
      <c r="C17" s="69">
        <f>SUM(C14:C16)</f>
        <v>1664178.08</v>
      </c>
      <c r="D17" s="11"/>
    </row>
    <row r="18" spans="1:4" x14ac:dyDescent="0.3">
      <c r="C18" s="46"/>
      <c r="D18" s="11"/>
    </row>
    <row r="19" spans="1:4" x14ac:dyDescent="0.3">
      <c r="B19" s="7" t="s">
        <v>252</v>
      </c>
      <c r="C19" s="46"/>
      <c r="D19" s="11"/>
    </row>
    <row r="20" spans="1:4" x14ac:dyDescent="0.3">
      <c r="C20" s="47"/>
      <c r="D20" s="11"/>
    </row>
    <row r="21" spans="1:4" x14ac:dyDescent="0.3">
      <c r="A21" s="23"/>
      <c r="B21" s="24" t="s">
        <v>152</v>
      </c>
      <c r="C21" s="30"/>
      <c r="D21" s="15"/>
    </row>
    <row r="22" spans="1:4" x14ac:dyDescent="0.3">
      <c r="A22" s="25" t="s">
        <v>51</v>
      </c>
      <c r="B22" s="25" t="s">
        <v>231</v>
      </c>
      <c r="C22" s="45">
        <f>50*2080</f>
        <v>104000</v>
      </c>
      <c r="D22" s="15" t="s">
        <v>240</v>
      </c>
    </row>
    <row r="23" spans="1:4" x14ac:dyDescent="0.3">
      <c r="A23" s="25"/>
      <c r="B23" s="25" t="s">
        <v>248</v>
      </c>
      <c r="C23" s="45">
        <f>40*2080</f>
        <v>83200</v>
      </c>
      <c r="D23" s="15" t="s">
        <v>249</v>
      </c>
    </row>
    <row r="24" spans="1:4" x14ac:dyDescent="0.3">
      <c r="A24" s="25" t="s">
        <v>52</v>
      </c>
      <c r="B24" s="25" t="s">
        <v>168</v>
      </c>
      <c r="C24" s="45">
        <f>7*8*365*25*1.1</f>
        <v>562100</v>
      </c>
      <c r="D24" s="64" t="s">
        <v>241</v>
      </c>
    </row>
    <row r="25" spans="1:4" x14ac:dyDescent="0.3">
      <c r="A25" s="25" t="s">
        <v>53</v>
      </c>
      <c r="B25" s="25" t="s">
        <v>48</v>
      </c>
      <c r="C25" s="45">
        <f>(C$24+C23+C$22)*0.0765</f>
        <v>57321.45</v>
      </c>
      <c r="D25" s="15"/>
    </row>
    <row r="26" spans="1:4" x14ac:dyDescent="0.3">
      <c r="A26" s="25" t="s">
        <v>55</v>
      </c>
      <c r="B26" s="25" t="s">
        <v>169</v>
      </c>
      <c r="C26" s="45">
        <f>(C$24+C23+C$22)*0.1</f>
        <v>74930</v>
      </c>
      <c r="D26" s="77" t="s">
        <v>226</v>
      </c>
    </row>
    <row r="27" spans="1:4" x14ac:dyDescent="0.3">
      <c r="A27" s="25" t="s">
        <v>54</v>
      </c>
      <c r="B27" s="25" t="s">
        <v>25</v>
      </c>
      <c r="C27" s="45">
        <f>900*12*12</f>
        <v>129600</v>
      </c>
      <c r="D27" s="11" t="s">
        <v>232</v>
      </c>
    </row>
    <row r="28" spans="1:4" x14ac:dyDescent="0.3">
      <c r="A28" s="25" t="s">
        <v>50</v>
      </c>
      <c r="B28" s="25" t="s">
        <v>49</v>
      </c>
      <c r="C28" s="45">
        <v>12000</v>
      </c>
      <c r="D28" s="11" t="s">
        <v>242</v>
      </c>
    </row>
    <row r="29" spans="1:4" x14ac:dyDescent="0.3">
      <c r="A29" s="25"/>
      <c r="B29" s="26" t="s">
        <v>151</v>
      </c>
      <c r="C29" s="52">
        <f>SUM(C22:C28)</f>
        <v>1023151.45</v>
      </c>
      <c r="D29" s="11"/>
    </row>
    <row r="30" spans="1:4" x14ac:dyDescent="0.3">
      <c r="A30" s="25"/>
      <c r="B30" s="25"/>
      <c r="C30" s="30"/>
      <c r="D30" s="11"/>
    </row>
    <row r="31" spans="1:4" x14ac:dyDescent="0.3">
      <c r="A31" s="25"/>
      <c r="B31" s="27" t="s">
        <v>153</v>
      </c>
      <c r="C31" s="30"/>
      <c r="D31" s="11"/>
    </row>
    <row r="32" spans="1:4" x14ac:dyDescent="0.3">
      <c r="A32" s="25" t="s">
        <v>57</v>
      </c>
      <c r="B32" s="25" t="s">
        <v>56</v>
      </c>
      <c r="C32" s="45">
        <f>12*1000</f>
        <v>12000</v>
      </c>
      <c r="D32" s="18" t="s">
        <v>224</v>
      </c>
    </row>
    <row r="33" spans="1:4" x14ac:dyDescent="0.3">
      <c r="A33" s="25" t="s">
        <v>59</v>
      </c>
      <c r="B33" s="25" t="s">
        <v>58</v>
      </c>
      <c r="C33" s="45">
        <v>600</v>
      </c>
      <c r="D33" s="11"/>
    </row>
    <row r="34" spans="1:4" x14ac:dyDescent="0.3">
      <c r="A34" s="25" t="s">
        <v>61</v>
      </c>
      <c r="B34" s="25" t="s">
        <v>60</v>
      </c>
      <c r="C34" s="45">
        <f>(SUM(C14:C16)+C15)*0.06</f>
        <v>43247.769599999992</v>
      </c>
      <c r="D34" s="11" t="s">
        <v>26</v>
      </c>
    </row>
    <row r="35" spans="1:4" x14ac:dyDescent="0.3">
      <c r="A35" s="23"/>
      <c r="B35" s="24" t="s">
        <v>3</v>
      </c>
      <c r="C35" s="51">
        <f>SUM(C32:C34)</f>
        <v>55847.769599999992</v>
      </c>
      <c r="D35" s="11"/>
    </row>
    <row r="36" spans="1:4" x14ac:dyDescent="0.3">
      <c r="A36" s="12"/>
      <c r="C36" s="30"/>
      <c r="D36" s="11"/>
    </row>
    <row r="37" spans="1:4" x14ac:dyDescent="0.3">
      <c r="A37" s="23"/>
      <c r="B37" s="24" t="s">
        <v>194</v>
      </c>
      <c r="C37" s="30"/>
      <c r="D37" s="11"/>
    </row>
    <row r="38" spans="1:4" x14ac:dyDescent="0.3">
      <c r="A38" s="25" t="s">
        <v>69</v>
      </c>
      <c r="B38" s="25" t="s">
        <v>172</v>
      </c>
      <c r="C38" s="45">
        <f>52*40*30</f>
        <v>62400</v>
      </c>
      <c r="D38" s="15" t="s">
        <v>227</v>
      </c>
    </row>
    <row r="39" spans="1:4" x14ac:dyDescent="0.3">
      <c r="A39" s="25" t="s">
        <v>68</v>
      </c>
      <c r="B39" s="25" t="s">
        <v>191</v>
      </c>
      <c r="C39" s="45">
        <f>(C38+C40)*0.0765</f>
        <v>5250.96</v>
      </c>
      <c r="D39" s="11"/>
    </row>
    <row r="40" spans="1:4" x14ac:dyDescent="0.3">
      <c r="A40" s="25" t="s">
        <v>67</v>
      </c>
      <c r="B40" s="25" t="s">
        <v>173</v>
      </c>
      <c r="C40" s="45">
        <f>C38*0.1</f>
        <v>6240</v>
      </c>
      <c r="D40" s="15"/>
    </row>
    <row r="41" spans="1:4" x14ac:dyDescent="0.3">
      <c r="A41" s="25" t="s">
        <v>66</v>
      </c>
      <c r="B41" s="25" t="s">
        <v>65</v>
      </c>
      <c r="C41" s="45">
        <f>900*12</f>
        <v>10800</v>
      </c>
      <c r="D41" s="11"/>
    </row>
    <row r="42" spans="1:4" x14ac:dyDescent="0.3">
      <c r="A42" s="25" t="s">
        <v>170</v>
      </c>
      <c r="B42" s="25" t="s">
        <v>171</v>
      </c>
      <c r="C42" s="45">
        <v>400</v>
      </c>
      <c r="D42" s="11"/>
    </row>
    <row r="43" spans="1:4" x14ac:dyDescent="0.3">
      <c r="A43" s="25" t="s">
        <v>64</v>
      </c>
      <c r="B43" s="25" t="s">
        <v>63</v>
      </c>
      <c r="C43" s="45">
        <v>32000</v>
      </c>
      <c r="D43" s="11"/>
    </row>
    <row r="44" spans="1:4" x14ac:dyDescent="0.3">
      <c r="A44" s="25" t="s">
        <v>71</v>
      </c>
      <c r="B44" s="25" t="s">
        <v>70</v>
      </c>
      <c r="C44" s="45">
        <v>45000</v>
      </c>
      <c r="D44" s="14" t="s">
        <v>228</v>
      </c>
    </row>
    <row r="45" spans="1:4" x14ac:dyDescent="0.3">
      <c r="A45" s="25" t="s">
        <v>72</v>
      </c>
      <c r="B45" s="25" t="s">
        <v>174</v>
      </c>
      <c r="C45" s="45">
        <f>22160*4.5</f>
        <v>99720</v>
      </c>
      <c r="D45" s="64" t="s">
        <v>229</v>
      </c>
    </row>
    <row r="46" spans="1:4" x14ac:dyDescent="0.3">
      <c r="A46" s="25" t="s">
        <v>73</v>
      </c>
      <c r="B46" s="25" t="s">
        <v>175</v>
      </c>
      <c r="C46" s="45">
        <v>6750</v>
      </c>
      <c r="D46" s="11"/>
    </row>
    <row r="47" spans="1:4" x14ac:dyDescent="0.3">
      <c r="A47" s="25" t="s">
        <v>79</v>
      </c>
      <c r="B47" s="25" t="s">
        <v>78</v>
      </c>
      <c r="C47" s="45">
        <v>2500</v>
      </c>
      <c r="D47" s="11"/>
    </row>
    <row r="48" spans="1:4" x14ac:dyDescent="0.3">
      <c r="A48" s="25" t="s">
        <v>77</v>
      </c>
      <c r="B48" s="25" t="s">
        <v>76</v>
      </c>
      <c r="C48" s="45">
        <v>4000</v>
      </c>
      <c r="D48" s="11"/>
    </row>
    <row r="49" spans="1:4" x14ac:dyDescent="0.3">
      <c r="A49" s="25" t="s">
        <v>75</v>
      </c>
      <c r="B49" s="25" t="s">
        <v>74</v>
      </c>
      <c r="C49" s="45">
        <v>3500</v>
      </c>
      <c r="D49" s="15" t="s">
        <v>223</v>
      </c>
    </row>
    <row r="50" spans="1:4" x14ac:dyDescent="0.3">
      <c r="A50" s="25" t="s">
        <v>87</v>
      </c>
      <c r="B50" s="25" t="s">
        <v>86</v>
      </c>
      <c r="C50" s="45">
        <f>7000+1500</f>
        <v>8500</v>
      </c>
      <c r="D50" s="11" t="s">
        <v>247</v>
      </c>
    </row>
    <row r="51" spans="1:4" x14ac:dyDescent="0.3">
      <c r="A51" s="25" t="s">
        <v>85</v>
      </c>
      <c r="B51" s="25" t="s">
        <v>84</v>
      </c>
      <c r="C51" s="45">
        <f>IF(A$11&gt;0,(500),(0))</f>
        <v>500</v>
      </c>
      <c r="D51" s="11" t="s">
        <v>27</v>
      </c>
    </row>
    <row r="52" spans="1:4" x14ac:dyDescent="0.3">
      <c r="A52" s="25" t="s">
        <v>83</v>
      </c>
      <c r="B52" s="25" t="s">
        <v>82</v>
      </c>
      <c r="C52" s="45">
        <v>3000</v>
      </c>
      <c r="D52" s="11"/>
    </row>
    <row r="53" spans="1:4" x14ac:dyDescent="0.3">
      <c r="A53" s="25" t="s">
        <v>81</v>
      </c>
      <c r="B53" s="25" t="s">
        <v>80</v>
      </c>
      <c r="C53" s="45">
        <v>2000</v>
      </c>
      <c r="D53" s="11"/>
    </row>
    <row r="54" spans="1:4" x14ac:dyDescent="0.3">
      <c r="A54" s="25" t="s">
        <v>94</v>
      </c>
      <c r="B54" s="25" t="s">
        <v>176</v>
      </c>
      <c r="C54" s="45">
        <f>(40*52*20)*1</f>
        <v>41600</v>
      </c>
      <c r="D54" s="15" t="s">
        <v>225</v>
      </c>
    </row>
    <row r="55" spans="1:4" x14ac:dyDescent="0.3">
      <c r="A55" s="25" t="s">
        <v>93</v>
      </c>
      <c r="B55" s="25" t="s">
        <v>192</v>
      </c>
      <c r="C55" s="45">
        <f>(C54+C56)*0.0765</f>
        <v>3500.64</v>
      </c>
      <c r="D55" s="11"/>
    </row>
    <row r="56" spans="1:4" x14ac:dyDescent="0.3">
      <c r="A56" s="25" t="s">
        <v>92</v>
      </c>
      <c r="B56" s="25" t="s">
        <v>177</v>
      </c>
      <c r="C56" s="45">
        <f>C54*0.1</f>
        <v>4160</v>
      </c>
      <c r="D56" s="11"/>
    </row>
    <row r="57" spans="1:4" x14ac:dyDescent="0.3">
      <c r="A57" s="25" t="s">
        <v>91</v>
      </c>
      <c r="B57" s="25" t="s">
        <v>90</v>
      </c>
      <c r="C57" s="45">
        <f>900*12</f>
        <v>10800</v>
      </c>
      <c r="D57" s="11"/>
    </row>
    <row r="58" spans="1:4" x14ac:dyDescent="0.3">
      <c r="A58" s="25" t="s">
        <v>89</v>
      </c>
      <c r="B58" s="25" t="s">
        <v>88</v>
      </c>
      <c r="C58" s="45">
        <v>15000</v>
      </c>
      <c r="D58" s="70"/>
    </row>
    <row r="59" spans="1:4" x14ac:dyDescent="0.3">
      <c r="A59" s="25" t="s">
        <v>96</v>
      </c>
      <c r="B59" s="25" t="s">
        <v>95</v>
      </c>
      <c r="C59" s="45">
        <f>12*250</f>
        <v>3000</v>
      </c>
      <c r="D59" s="70" t="s">
        <v>219</v>
      </c>
    </row>
    <row r="60" spans="1:4" x14ac:dyDescent="0.3">
      <c r="A60" s="25" t="s">
        <v>98</v>
      </c>
      <c r="B60" s="25" t="s">
        <v>97</v>
      </c>
      <c r="C60" s="45">
        <v>1500</v>
      </c>
      <c r="D60" s="11"/>
    </row>
    <row r="61" spans="1:4" x14ac:dyDescent="0.3">
      <c r="A61" s="23"/>
      <c r="B61" s="24" t="s">
        <v>193</v>
      </c>
      <c r="C61" s="51">
        <f>SUM(C38:C60)</f>
        <v>372121.60000000003</v>
      </c>
      <c r="D61" s="17"/>
    </row>
    <row r="62" spans="1:4" x14ac:dyDescent="0.3">
      <c r="A62" s="12"/>
      <c r="C62" s="47"/>
      <c r="D62" s="11"/>
    </row>
    <row r="63" spans="1:4" x14ac:dyDescent="0.3">
      <c r="A63" s="23"/>
      <c r="B63" s="24" t="s">
        <v>4</v>
      </c>
      <c r="C63" s="30"/>
      <c r="D63" s="15"/>
    </row>
    <row r="64" spans="1:4" x14ac:dyDescent="0.3">
      <c r="A64" s="25" t="s">
        <v>111</v>
      </c>
      <c r="B64" s="25" t="s">
        <v>178</v>
      </c>
      <c r="C64" s="45">
        <f>1.1*(365*12*20)+2080</f>
        <v>98440.000000000015</v>
      </c>
      <c r="D64" s="15" t="s">
        <v>233</v>
      </c>
    </row>
    <row r="65" spans="1:4" x14ac:dyDescent="0.3">
      <c r="A65" s="25" t="s">
        <v>110</v>
      </c>
      <c r="B65" s="25" t="s">
        <v>48</v>
      </c>
      <c r="C65" s="45">
        <f>(C64+C66)*0.0765</f>
        <v>8283.7260000000006</v>
      </c>
      <c r="D65" s="11"/>
    </row>
    <row r="66" spans="1:4" x14ac:dyDescent="0.3">
      <c r="A66" s="25" t="s">
        <v>109</v>
      </c>
      <c r="B66" s="25" t="s">
        <v>179</v>
      </c>
      <c r="C66" s="45">
        <f>C64*0.1</f>
        <v>9844.0000000000018</v>
      </c>
      <c r="D66" s="11"/>
    </row>
    <row r="67" spans="1:4" x14ac:dyDescent="0.3">
      <c r="A67" s="25" t="s">
        <v>108</v>
      </c>
      <c r="B67" s="25" t="s">
        <v>107</v>
      </c>
      <c r="C67" s="45">
        <f>900*12*2</f>
        <v>21600</v>
      </c>
      <c r="D67" s="11"/>
    </row>
    <row r="68" spans="1:4" x14ac:dyDescent="0.3">
      <c r="A68" s="25" t="s">
        <v>106</v>
      </c>
      <c r="B68" s="25" t="s">
        <v>105</v>
      </c>
      <c r="C68" s="45">
        <v>6000</v>
      </c>
      <c r="D68" s="11"/>
    </row>
    <row r="69" spans="1:4" x14ac:dyDescent="0.3">
      <c r="A69" s="25" t="s">
        <v>104</v>
      </c>
      <c r="B69" s="25" t="s">
        <v>103</v>
      </c>
      <c r="C69" s="45">
        <f>C11*7</f>
        <v>77672</v>
      </c>
      <c r="D69" s="11" t="s">
        <v>214</v>
      </c>
    </row>
    <row r="70" spans="1:4" x14ac:dyDescent="0.3">
      <c r="A70" s="25" t="s">
        <v>102</v>
      </c>
      <c r="B70" s="25" t="s">
        <v>101</v>
      </c>
      <c r="C70" s="45">
        <v>1000</v>
      </c>
      <c r="D70" s="11"/>
    </row>
    <row r="71" spans="1:4" x14ac:dyDescent="0.3">
      <c r="A71" s="25" t="s">
        <v>100</v>
      </c>
      <c r="B71" s="25" t="s">
        <v>99</v>
      </c>
      <c r="C71" s="45">
        <f>48*4*12</f>
        <v>2304</v>
      </c>
      <c r="D71" s="11"/>
    </row>
    <row r="72" spans="1:4" x14ac:dyDescent="0.3">
      <c r="A72" s="23"/>
      <c r="B72" s="24" t="s">
        <v>5</v>
      </c>
      <c r="C72" s="52">
        <f>SUM(C64:C71)</f>
        <v>225143.72600000002</v>
      </c>
      <c r="D72" s="17"/>
    </row>
    <row r="73" spans="1:4" x14ac:dyDescent="0.3">
      <c r="A73" s="12"/>
      <c r="C73" s="30"/>
      <c r="D73" s="11"/>
    </row>
    <row r="74" spans="1:4" x14ac:dyDescent="0.3">
      <c r="A74" s="23"/>
      <c r="B74" s="24" t="s">
        <v>6</v>
      </c>
      <c r="C74" s="30"/>
      <c r="D74" s="15"/>
    </row>
    <row r="75" spans="1:4" x14ac:dyDescent="0.3">
      <c r="A75" s="25" t="s">
        <v>113</v>
      </c>
      <c r="B75" s="25" t="s">
        <v>167</v>
      </c>
      <c r="C75" s="45">
        <f>(40*52*30)</f>
        <v>62400</v>
      </c>
      <c r="D75" s="116" t="s">
        <v>250</v>
      </c>
    </row>
    <row r="76" spans="1:4" x14ac:dyDescent="0.3">
      <c r="A76" s="25" t="s">
        <v>112</v>
      </c>
      <c r="B76" s="25" t="s">
        <v>48</v>
      </c>
      <c r="C76" s="45">
        <f>(C75)*0.0765</f>
        <v>4773.6000000000004</v>
      </c>
      <c r="D76" s="116"/>
    </row>
    <row r="77" spans="1:4" x14ac:dyDescent="0.3">
      <c r="A77" s="25" t="s">
        <v>114</v>
      </c>
      <c r="B77" s="25" t="s">
        <v>180</v>
      </c>
      <c r="C77" s="45">
        <f>(C75)*0.1</f>
        <v>6240</v>
      </c>
      <c r="D77" s="116"/>
    </row>
    <row r="78" spans="1:4" x14ac:dyDescent="0.3">
      <c r="A78" s="25" t="s">
        <v>116</v>
      </c>
      <c r="B78" s="25" t="s">
        <v>115</v>
      </c>
      <c r="C78" s="45">
        <f>900*12</f>
        <v>10800</v>
      </c>
      <c r="D78" s="116"/>
    </row>
    <row r="79" spans="1:4" x14ac:dyDescent="0.3">
      <c r="A79" s="25" t="s">
        <v>118</v>
      </c>
      <c r="B79" s="25" t="s">
        <v>117</v>
      </c>
      <c r="C79" s="45">
        <f>800</f>
        <v>800</v>
      </c>
      <c r="D79" s="15" t="s">
        <v>215</v>
      </c>
    </row>
    <row r="80" spans="1:4" x14ac:dyDescent="0.3">
      <c r="A80" s="25" t="s">
        <v>120</v>
      </c>
      <c r="B80" s="25" t="s">
        <v>119</v>
      </c>
      <c r="C80" s="45"/>
      <c r="D80" s="15"/>
    </row>
    <row r="81" spans="1:4" x14ac:dyDescent="0.3">
      <c r="A81" s="25" t="s">
        <v>123</v>
      </c>
      <c r="B81" s="25" t="s">
        <v>122</v>
      </c>
      <c r="C81" s="45">
        <v>8000</v>
      </c>
      <c r="D81" s="11"/>
    </row>
    <row r="82" spans="1:4" x14ac:dyDescent="0.3">
      <c r="A82" s="25" t="s">
        <v>121</v>
      </c>
      <c r="B82" s="25" t="s">
        <v>181</v>
      </c>
      <c r="C82" s="45">
        <v>20000</v>
      </c>
      <c r="D82" s="11" t="s">
        <v>216</v>
      </c>
    </row>
    <row r="83" spans="1:4" x14ac:dyDescent="0.3">
      <c r="A83" s="25" t="s">
        <v>148</v>
      </c>
      <c r="B83" s="25" t="s">
        <v>147</v>
      </c>
      <c r="C83" s="45">
        <v>1500</v>
      </c>
      <c r="D83" s="11"/>
    </row>
    <row r="84" spans="1:4" x14ac:dyDescent="0.3">
      <c r="A84" s="25" t="s">
        <v>125</v>
      </c>
      <c r="B84" s="25" t="s">
        <v>124</v>
      </c>
      <c r="C84" s="45">
        <v>1000</v>
      </c>
      <c r="D84" s="11"/>
    </row>
    <row r="85" spans="1:4" x14ac:dyDescent="0.3">
      <c r="A85" s="25" t="s">
        <v>127</v>
      </c>
      <c r="B85" s="25" t="s">
        <v>126</v>
      </c>
      <c r="C85" s="45">
        <v>1000</v>
      </c>
      <c r="D85" s="11"/>
    </row>
    <row r="86" spans="1:4" x14ac:dyDescent="0.3">
      <c r="A86" s="25" t="s">
        <v>146</v>
      </c>
      <c r="B86" s="25" t="s">
        <v>145</v>
      </c>
      <c r="C86" s="45">
        <v>1000</v>
      </c>
      <c r="D86" s="11" t="s">
        <v>161</v>
      </c>
    </row>
    <row r="87" spans="1:4" x14ac:dyDescent="0.3">
      <c r="A87" s="25" t="s">
        <v>129</v>
      </c>
      <c r="B87" s="25" t="s">
        <v>128</v>
      </c>
      <c r="C87" s="45">
        <v>8000</v>
      </c>
      <c r="D87" s="11"/>
    </row>
    <row r="88" spans="1:4" x14ac:dyDescent="0.3">
      <c r="A88" s="25" t="s">
        <v>130</v>
      </c>
      <c r="B88" s="25" t="s">
        <v>62</v>
      </c>
      <c r="C88" s="45">
        <v>2500</v>
      </c>
      <c r="D88" s="11" t="s">
        <v>217</v>
      </c>
    </row>
    <row r="89" spans="1:4" x14ac:dyDescent="0.3">
      <c r="A89" s="25" t="s">
        <v>132</v>
      </c>
      <c r="B89" s="25" t="s">
        <v>131</v>
      </c>
      <c r="C89" s="45">
        <v>0</v>
      </c>
      <c r="D89" s="11"/>
    </row>
    <row r="90" spans="1:4" x14ac:dyDescent="0.3">
      <c r="A90" s="25" t="s">
        <v>165</v>
      </c>
      <c r="B90" s="25" t="s">
        <v>166</v>
      </c>
      <c r="C90" s="45">
        <v>100</v>
      </c>
      <c r="D90" s="11"/>
    </row>
    <row r="91" spans="1:4" x14ac:dyDescent="0.3">
      <c r="A91" s="25" t="s">
        <v>134</v>
      </c>
      <c r="B91" s="25" t="s">
        <v>133</v>
      </c>
      <c r="C91" s="45">
        <v>50</v>
      </c>
      <c r="D91" s="11"/>
    </row>
    <row r="92" spans="1:4" x14ac:dyDescent="0.3">
      <c r="A92" s="25" t="s">
        <v>150</v>
      </c>
      <c r="B92" s="25" t="s">
        <v>182</v>
      </c>
      <c r="C92" s="45">
        <v>800</v>
      </c>
      <c r="D92" s="15"/>
    </row>
    <row r="93" spans="1:4" x14ac:dyDescent="0.3">
      <c r="A93" s="23"/>
      <c r="B93" s="24" t="s">
        <v>7</v>
      </c>
      <c r="C93" s="52">
        <f>SUM(C75:C92)</f>
        <v>128963.6</v>
      </c>
      <c r="D93" s="17"/>
    </row>
    <row r="94" spans="1:4" x14ac:dyDescent="0.3">
      <c r="A94" s="12"/>
      <c r="C94" s="47"/>
      <c r="D94" s="11"/>
    </row>
    <row r="95" spans="1:4" x14ac:dyDescent="0.3">
      <c r="A95" s="23"/>
      <c r="B95" s="24" t="s">
        <v>24</v>
      </c>
      <c r="C95" s="47"/>
      <c r="D95" s="11"/>
    </row>
    <row r="96" spans="1:4" x14ac:dyDescent="0.3">
      <c r="A96" s="25" t="s">
        <v>144</v>
      </c>
      <c r="B96" s="25" t="s">
        <v>183</v>
      </c>
      <c r="C96" s="45">
        <v>500</v>
      </c>
      <c r="D96" s="15"/>
    </row>
    <row r="97" spans="1:4" x14ac:dyDescent="0.3">
      <c r="A97" s="25" t="s">
        <v>136</v>
      </c>
      <c r="B97" s="25" t="s">
        <v>135</v>
      </c>
      <c r="C97" s="45">
        <v>5000</v>
      </c>
      <c r="D97" s="15"/>
    </row>
    <row r="98" spans="1:4" x14ac:dyDescent="0.3">
      <c r="A98" s="25" t="s">
        <v>138</v>
      </c>
      <c r="B98" s="25" t="s">
        <v>137</v>
      </c>
      <c r="C98" s="45">
        <v>500</v>
      </c>
      <c r="D98" s="11"/>
    </row>
    <row r="99" spans="1:4" x14ac:dyDescent="0.3">
      <c r="A99" s="25" t="s">
        <v>149</v>
      </c>
      <c r="B99" s="25" t="s">
        <v>184</v>
      </c>
      <c r="C99" s="45">
        <f>65*12*C1</f>
        <v>24960</v>
      </c>
      <c r="D99" s="70" t="s">
        <v>222</v>
      </c>
    </row>
    <row r="100" spans="1:4" x14ac:dyDescent="0.3">
      <c r="A100" s="25" t="s">
        <v>140</v>
      </c>
      <c r="B100" s="25" t="s">
        <v>139</v>
      </c>
      <c r="C100" s="45">
        <f>56*30</f>
        <v>1680</v>
      </c>
      <c r="D100" s="11" t="s">
        <v>160</v>
      </c>
    </row>
    <row r="101" spans="1:4" x14ac:dyDescent="0.3">
      <c r="A101" s="25" t="s">
        <v>141</v>
      </c>
      <c r="B101" s="25" t="s">
        <v>185</v>
      </c>
      <c r="C101" s="45">
        <v>2000</v>
      </c>
      <c r="D101" s="11"/>
    </row>
    <row r="102" spans="1:4" x14ac:dyDescent="0.3">
      <c r="A102" s="23"/>
      <c r="B102" s="24" t="s">
        <v>8</v>
      </c>
      <c r="C102" s="51">
        <f>SUM(C96:C101)</f>
        <v>34640</v>
      </c>
      <c r="D102" s="19"/>
    </row>
    <row r="103" spans="1:4" x14ac:dyDescent="0.3">
      <c r="A103" s="12"/>
      <c r="C103" s="30"/>
      <c r="D103" s="11"/>
    </row>
    <row r="104" spans="1:4" x14ac:dyDescent="0.3">
      <c r="A104" s="23"/>
      <c r="B104" s="24" t="s">
        <v>154</v>
      </c>
      <c r="C104" s="30"/>
      <c r="D104" s="11"/>
    </row>
    <row r="105" spans="1:4" x14ac:dyDescent="0.3">
      <c r="A105" s="25" t="s">
        <v>156</v>
      </c>
      <c r="B105" s="25" t="s">
        <v>186</v>
      </c>
      <c r="C105" s="45">
        <f>12*(60+590)</f>
        <v>7800</v>
      </c>
      <c r="D105" s="11"/>
    </row>
    <row r="106" spans="1:4" x14ac:dyDescent="0.3">
      <c r="A106" s="25" t="s">
        <v>157</v>
      </c>
      <c r="B106" s="25" t="s">
        <v>187</v>
      </c>
      <c r="C106" s="45">
        <f>12*(2000+381+150+15)+160</f>
        <v>30712</v>
      </c>
      <c r="D106" s="78" t="s">
        <v>230</v>
      </c>
    </row>
    <row r="107" spans="1:4" x14ac:dyDescent="0.3">
      <c r="A107" s="25" t="s">
        <v>158</v>
      </c>
      <c r="B107" s="25" t="s">
        <v>188</v>
      </c>
      <c r="C107" s="45">
        <f>200*12</f>
        <v>2400</v>
      </c>
      <c r="D107" s="15"/>
    </row>
    <row r="108" spans="1:4" x14ac:dyDescent="0.3">
      <c r="A108" s="23"/>
      <c r="B108" s="24" t="s">
        <v>155</v>
      </c>
      <c r="C108" s="51">
        <f>SUM(C105:C107)</f>
        <v>40912</v>
      </c>
      <c r="D108" s="11"/>
    </row>
    <row r="109" spans="1:4" x14ac:dyDescent="0.3">
      <c r="A109" s="12"/>
      <c r="C109" s="30"/>
      <c r="D109" s="11"/>
    </row>
    <row r="110" spans="1:4" x14ac:dyDescent="0.3">
      <c r="A110" s="23"/>
      <c r="B110" s="24" t="s">
        <v>9</v>
      </c>
      <c r="C110" s="30"/>
      <c r="D110" s="11"/>
    </row>
    <row r="111" spans="1:4" s="71" customFormat="1" x14ac:dyDescent="0.3">
      <c r="A111" s="25" t="s">
        <v>162</v>
      </c>
      <c r="B111" s="25" t="s">
        <v>163</v>
      </c>
      <c r="C111" s="44">
        <f>0.055*C16</f>
        <v>31551.475999999999</v>
      </c>
      <c r="D111" s="70" t="s">
        <v>190</v>
      </c>
    </row>
    <row r="112" spans="1:4" x14ac:dyDescent="0.3">
      <c r="A112" s="25" t="s">
        <v>45</v>
      </c>
      <c r="B112" s="25" t="s">
        <v>44</v>
      </c>
      <c r="C112" s="45">
        <v>230000</v>
      </c>
      <c r="D112" s="11"/>
    </row>
    <row r="113" spans="1:4" x14ac:dyDescent="0.3">
      <c r="A113" s="25" t="s">
        <v>47</v>
      </c>
      <c r="B113" s="25" t="s">
        <v>46</v>
      </c>
      <c r="C113" s="45">
        <v>30000</v>
      </c>
      <c r="D113" s="8"/>
    </row>
    <row r="114" spans="1:4" x14ac:dyDescent="0.3">
      <c r="A114" s="23"/>
      <c r="B114" s="24" t="s">
        <v>10</v>
      </c>
      <c r="C114" s="72">
        <f>SUM(C111:C113)</f>
        <v>291551.47600000002</v>
      </c>
      <c r="D114" s="11"/>
    </row>
    <row r="115" spans="1:4" x14ac:dyDescent="0.3">
      <c r="A115" s="12"/>
      <c r="B115" s="7"/>
      <c r="C115" s="31"/>
      <c r="D115" s="11"/>
    </row>
    <row r="116" spans="1:4" x14ac:dyDescent="0.3">
      <c r="A116" s="12"/>
      <c r="B116" s="7"/>
      <c r="C116" s="59"/>
      <c r="D116" s="11"/>
    </row>
    <row r="117" spans="1:4" ht="15" thickBot="1" x14ac:dyDescent="0.35">
      <c r="A117" s="12"/>
      <c r="B117" s="7"/>
      <c r="C117" s="60">
        <f>+C29+C35+C61+C72+C93+C102+C114+C108</f>
        <v>2172331.6216000002</v>
      </c>
      <c r="D117" s="17"/>
    </row>
    <row r="118" spans="1:4" ht="15" thickTop="1" x14ac:dyDescent="0.3">
      <c r="A118" s="12"/>
      <c r="B118" s="7"/>
      <c r="C118" s="61"/>
      <c r="D118" s="11"/>
    </row>
    <row r="119" spans="1:4" ht="15" thickBot="1" x14ac:dyDescent="0.35">
      <c r="A119" s="23"/>
      <c r="B119" s="24" t="s">
        <v>21</v>
      </c>
      <c r="C119" s="113">
        <f>C17-C117</f>
        <v>-508153.54160000011</v>
      </c>
      <c r="D119" s="11"/>
    </row>
    <row r="120" spans="1:4" ht="15" thickTop="1" x14ac:dyDescent="0.3">
      <c r="A120" s="23"/>
      <c r="B120" s="24"/>
      <c r="C120" s="48"/>
      <c r="D120" s="16"/>
    </row>
    <row r="121" spans="1:4" x14ac:dyDescent="0.3">
      <c r="A121" s="23"/>
      <c r="B121" s="24" t="s">
        <v>15</v>
      </c>
      <c r="C121" s="48"/>
      <c r="D121" s="63"/>
    </row>
    <row r="122" spans="1:4" x14ac:dyDescent="0.3">
      <c r="A122" s="25" t="s">
        <v>41</v>
      </c>
      <c r="B122" s="25" t="s">
        <v>40</v>
      </c>
      <c r="C122" s="45">
        <f>IF((A$11&gt;0),75000,0)</f>
        <v>75000</v>
      </c>
      <c r="D122" s="15"/>
    </row>
    <row r="123" spans="1:4" x14ac:dyDescent="0.3">
      <c r="A123" s="25" t="s">
        <v>37</v>
      </c>
      <c r="B123" s="25" t="s">
        <v>36</v>
      </c>
      <c r="C123" s="45">
        <v>800</v>
      </c>
      <c r="D123" s="11"/>
    </row>
    <row r="124" spans="1:4" x14ac:dyDescent="0.3">
      <c r="A124" s="25" t="s">
        <v>39</v>
      </c>
      <c r="B124" s="25" t="s">
        <v>38</v>
      </c>
      <c r="C124" s="49">
        <v>800</v>
      </c>
      <c r="D124" s="11"/>
    </row>
    <row r="125" spans="1:4" x14ac:dyDescent="0.3">
      <c r="A125" s="23"/>
      <c r="B125" s="24" t="s">
        <v>16</v>
      </c>
      <c r="C125" s="53">
        <f>SUM(C122:C124)</f>
        <v>76600</v>
      </c>
      <c r="D125" s="11"/>
    </row>
    <row r="126" spans="1:4" x14ac:dyDescent="0.3">
      <c r="A126" s="23"/>
      <c r="B126" s="24"/>
      <c r="C126" s="46"/>
      <c r="D126" s="11"/>
    </row>
    <row r="127" spans="1:4" x14ac:dyDescent="0.3">
      <c r="A127" s="23"/>
      <c r="B127" s="24" t="s">
        <v>164</v>
      </c>
      <c r="C127" s="46"/>
      <c r="D127" s="11"/>
    </row>
    <row r="128" spans="1:4" x14ac:dyDescent="0.3">
      <c r="A128" s="25" t="s">
        <v>143</v>
      </c>
      <c r="B128" s="25" t="s">
        <v>142</v>
      </c>
      <c r="C128" s="45">
        <v>150</v>
      </c>
      <c r="D128" s="11"/>
    </row>
    <row r="129" spans="1:4" x14ac:dyDescent="0.3">
      <c r="A129" s="25" t="s">
        <v>43</v>
      </c>
      <c r="B129" s="25" t="s">
        <v>42</v>
      </c>
      <c r="C129" s="45">
        <v>5000</v>
      </c>
      <c r="D129" s="11"/>
    </row>
    <row r="130" spans="1:4" x14ac:dyDescent="0.3">
      <c r="A130" s="25"/>
      <c r="B130" s="24" t="s">
        <v>195</v>
      </c>
      <c r="C130" s="54">
        <f>SUM(C128:C129)</f>
        <v>5150</v>
      </c>
      <c r="D130" s="1"/>
    </row>
    <row r="131" spans="1:4" x14ac:dyDescent="0.3">
      <c r="A131" s="25"/>
      <c r="B131" s="24"/>
      <c r="C131" s="50"/>
      <c r="D131" s="1"/>
    </row>
    <row r="132" spans="1:4" ht="15" thickBot="1" x14ac:dyDescent="0.35">
      <c r="A132" s="29"/>
      <c r="B132" s="24" t="s">
        <v>11</v>
      </c>
      <c r="C132" s="55">
        <f>C119+C125+C130</f>
        <v>-426403.54160000011</v>
      </c>
      <c r="D132" s="11"/>
    </row>
    <row r="133" spans="1:4" ht="15" thickTop="1" x14ac:dyDescent="0.3">
      <c r="A133" s="12"/>
      <c r="C133" s="43"/>
      <c r="D133" s="11"/>
    </row>
    <row r="134" spans="1:4" x14ac:dyDescent="0.3">
      <c r="C134" s="31"/>
      <c r="D134" s="11"/>
    </row>
    <row r="135" spans="1:4" x14ac:dyDescent="0.3">
      <c r="A135" s="25"/>
      <c r="B135" s="26" t="s">
        <v>197</v>
      </c>
      <c r="C135" s="30"/>
      <c r="D135" s="1"/>
    </row>
    <row r="136" spans="1:4" x14ac:dyDescent="0.3">
      <c r="A136" s="25" t="s">
        <v>159</v>
      </c>
      <c r="B136" s="25" t="s">
        <v>189</v>
      </c>
      <c r="C136" s="21">
        <v>60000</v>
      </c>
      <c r="D136" s="1"/>
    </row>
    <row r="137" spans="1:4" ht="14.25" customHeight="1" x14ac:dyDescent="0.3">
      <c r="A137" s="29"/>
      <c r="B137" s="24" t="s">
        <v>198</v>
      </c>
      <c r="C137" s="22">
        <f>SUM(C136:C136)</f>
        <v>60000</v>
      </c>
      <c r="D137" s="11"/>
    </row>
    <row r="138" spans="1:4" x14ac:dyDescent="0.3">
      <c r="A138" s="12"/>
      <c r="C138" s="33"/>
      <c r="D138" s="11"/>
    </row>
    <row r="139" spans="1:4" x14ac:dyDescent="0.3">
      <c r="C139" s="33"/>
      <c r="D139" s="11"/>
    </row>
    <row r="140" spans="1:4" ht="15" thickBot="1" x14ac:dyDescent="0.35">
      <c r="B140" s="7" t="s">
        <v>196</v>
      </c>
      <c r="C140" s="32">
        <f>C132+C137</f>
        <v>-366403.54160000011</v>
      </c>
      <c r="D140" s="11"/>
    </row>
    <row r="141" spans="1:4" ht="15" thickTop="1" x14ac:dyDescent="0.3">
      <c r="C141" s="35"/>
      <c r="D141" s="11"/>
    </row>
    <row r="142" spans="1:4" x14ac:dyDescent="0.3">
      <c r="A142" s="12"/>
      <c r="C142" s="38"/>
      <c r="D142" s="1"/>
    </row>
    <row r="143" spans="1:4" x14ac:dyDescent="0.3">
      <c r="A143" s="12"/>
      <c r="C143" s="38"/>
      <c r="D143" s="1"/>
    </row>
    <row r="144" spans="1:4" x14ac:dyDescent="0.3">
      <c r="C144" s="35"/>
    </row>
    <row r="145" spans="1:4" x14ac:dyDescent="0.3">
      <c r="C145" s="35"/>
    </row>
    <row r="146" spans="1:4" x14ac:dyDescent="0.3">
      <c r="C146" s="35"/>
    </row>
    <row r="147" spans="1:4" x14ac:dyDescent="0.3">
      <c r="C147" s="35"/>
    </row>
    <row r="148" spans="1:4" x14ac:dyDescent="0.3">
      <c r="C148" s="35"/>
    </row>
    <row r="149" spans="1:4" x14ac:dyDescent="0.3">
      <c r="C149" s="35"/>
    </row>
    <row r="150" spans="1:4" x14ac:dyDescent="0.3">
      <c r="C150" s="35"/>
    </row>
    <row r="151" spans="1:4" x14ac:dyDescent="0.3">
      <c r="C151" s="35"/>
    </row>
    <row r="152" spans="1:4" x14ac:dyDescent="0.3">
      <c r="A152" s="12"/>
      <c r="C152" s="38"/>
      <c r="D152" s="37"/>
    </row>
    <row r="153" spans="1:4" x14ac:dyDescent="0.3">
      <c r="A153" s="12"/>
      <c r="C153" s="38"/>
      <c r="D153" s="37"/>
    </row>
    <row r="154" spans="1:4" x14ac:dyDescent="0.3">
      <c r="A154" s="12"/>
      <c r="C154" s="38"/>
      <c r="D154" s="37"/>
    </row>
    <row r="155" spans="1:4" x14ac:dyDescent="0.3">
      <c r="A155" s="12"/>
      <c r="C155" s="37"/>
      <c r="D155" s="37"/>
    </row>
    <row r="156" spans="1:4" x14ac:dyDescent="0.3">
      <c r="A156" s="12"/>
      <c r="C156" s="37"/>
      <c r="D156" s="37"/>
    </row>
    <row r="157" spans="1:4" x14ac:dyDescent="0.3">
      <c r="A157" s="12"/>
      <c r="C157" s="37"/>
      <c r="D157" s="37"/>
    </row>
    <row r="158" spans="1:4" x14ac:dyDescent="0.3">
      <c r="A158" s="12"/>
      <c r="C158" s="37"/>
      <c r="D158" s="37"/>
    </row>
    <row r="159" spans="1:4" x14ac:dyDescent="0.3">
      <c r="A159" s="12"/>
      <c r="C159" s="37"/>
      <c r="D159" s="37"/>
    </row>
    <row r="160" spans="1:4" x14ac:dyDescent="0.3">
      <c r="A160" s="12"/>
      <c r="C160" s="37"/>
      <c r="D160" s="37"/>
    </row>
    <row r="161" spans="1:4" x14ac:dyDescent="0.3">
      <c r="A161" s="12"/>
      <c r="C161" s="37"/>
      <c r="D161" s="37"/>
    </row>
    <row r="162" spans="1:4" x14ac:dyDescent="0.3">
      <c r="A162" s="12"/>
      <c r="C162" s="37"/>
      <c r="D162" s="37"/>
    </row>
    <row r="163" spans="1:4" x14ac:dyDescent="0.3">
      <c r="A163" s="12"/>
      <c r="C163" s="37"/>
      <c r="D163" s="37"/>
    </row>
    <row r="164" spans="1:4" x14ac:dyDescent="0.3">
      <c r="A164" s="12"/>
      <c r="C164" s="37"/>
      <c r="D164" s="37"/>
    </row>
    <row r="165" spans="1:4" x14ac:dyDescent="0.3">
      <c r="A165" s="12"/>
      <c r="C165" s="37"/>
      <c r="D165" s="37"/>
    </row>
    <row r="166" spans="1:4" x14ac:dyDescent="0.3">
      <c r="A166" s="12"/>
      <c r="C166" s="37"/>
      <c r="D166" s="37"/>
    </row>
    <row r="169" spans="1:4" x14ac:dyDescent="0.3">
      <c r="A169" s="12"/>
      <c r="C169" s="37"/>
      <c r="D169" s="37"/>
    </row>
    <row r="170" spans="1:4" x14ac:dyDescent="0.3">
      <c r="A170" s="12"/>
      <c r="C170" s="37"/>
      <c r="D170" s="37"/>
    </row>
    <row r="171" spans="1:4" x14ac:dyDescent="0.3">
      <c r="A171" s="12"/>
      <c r="C171" s="37"/>
      <c r="D171" s="37"/>
    </row>
    <row r="172" spans="1:4" x14ac:dyDescent="0.3">
      <c r="A172" s="12"/>
      <c r="C172" s="37"/>
      <c r="D172" s="37"/>
    </row>
    <row r="173" spans="1:4" x14ac:dyDescent="0.3">
      <c r="A173" s="12"/>
      <c r="C173" s="37"/>
      <c r="D173" s="37"/>
    </row>
    <row r="174" spans="1:4" x14ac:dyDescent="0.3">
      <c r="A174" s="12"/>
      <c r="C174" s="37"/>
      <c r="D174" s="37"/>
    </row>
    <row r="175" spans="1:4" x14ac:dyDescent="0.3">
      <c r="A175" s="12"/>
      <c r="C175" s="37"/>
      <c r="D175" s="37"/>
    </row>
    <row r="176" spans="1:4" x14ac:dyDescent="0.3">
      <c r="A176" s="12"/>
      <c r="C176" s="37"/>
      <c r="D176" s="37"/>
    </row>
  </sheetData>
  <mergeCells count="2">
    <mergeCell ref="D5:D6"/>
    <mergeCell ref="D75:D78"/>
  </mergeCells>
  <pageMargins left="0.7" right="0.7" top="0.75" bottom="0.75" header="0.3" footer="0.3"/>
  <pageSetup scale="97" fitToHeight="0" orientation="portrait" r:id="rId1"/>
  <rowBreaks count="3" manualBreakCount="3">
    <brk id="35" max="16383" man="1"/>
    <brk id="72" max="16383" man="1"/>
    <brk id="11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E29E7-AC20-430C-B0C4-C0BF0B1A4AE5}">
  <dimension ref="A1:F38"/>
  <sheetViews>
    <sheetView workbookViewId="0">
      <selection activeCell="A7" sqref="A7"/>
    </sheetView>
  </sheetViews>
  <sheetFormatPr defaultRowHeight="14.4" x14ac:dyDescent="0.3"/>
  <cols>
    <col min="1" max="1" width="22.5546875" style="67" bestFit="1" customWidth="1"/>
    <col min="2" max="3" width="3" style="71" bestFit="1" customWidth="1"/>
    <col min="4" max="4" width="5.6640625" style="71" bestFit="1" customWidth="1"/>
    <col min="5" max="5" width="2.77734375" customWidth="1"/>
    <col min="6" max="6" width="77.5546875" style="67" customWidth="1"/>
  </cols>
  <sheetData>
    <row r="1" spans="1:6" ht="14.4" customHeight="1" x14ac:dyDescent="0.3">
      <c r="A1" s="66" t="s">
        <v>202</v>
      </c>
      <c r="B1" s="117" t="s">
        <v>221</v>
      </c>
      <c r="C1" s="118"/>
      <c r="D1" s="119"/>
    </row>
    <row r="2" spans="1:6" x14ac:dyDescent="0.3">
      <c r="A2" s="66"/>
      <c r="B2" s="98" t="s">
        <v>244</v>
      </c>
      <c r="C2" s="99" t="s">
        <v>245</v>
      </c>
      <c r="D2" s="100" t="s">
        <v>238</v>
      </c>
    </row>
    <row r="3" spans="1:6" ht="15.6" x14ac:dyDescent="0.3">
      <c r="A3" s="107" t="s">
        <v>203</v>
      </c>
      <c r="B3" s="110"/>
      <c r="C3" s="111"/>
      <c r="D3" s="112"/>
      <c r="E3" s="108"/>
      <c r="F3" s="109"/>
    </row>
    <row r="4" spans="1:6" ht="28.8" x14ac:dyDescent="0.3">
      <c r="A4" s="101" t="s">
        <v>220</v>
      </c>
      <c r="B4" s="102">
        <v>1</v>
      </c>
      <c r="C4" s="103"/>
      <c r="D4" s="104"/>
      <c r="E4" s="105"/>
      <c r="F4" s="106" t="s">
        <v>255</v>
      </c>
    </row>
    <row r="5" spans="1:6" x14ac:dyDescent="0.3">
      <c r="A5" s="101" t="s">
        <v>253</v>
      </c>
      <c r="B5" s="102">
        <v>1</v>
      </c>
      <c r="C5" s="103"/>
      <c r="D5" s="104"/>
      <c r="E5" s="105"/>
      <c r="F5" s="106" t="s">
        <v>257</v>
      </c>
    </row>
    <row r="6" spans="1:6" x14ac:dyDescent="0.3">
      <c r="A6" s="87" t="s">
        <v>258</v>
      </c>
      <c r="B6" s="92">
        <v>7</v>
      </c>
      <c r="C6" s="93">
        <v>7</v>
      </c>
      <c r="D6" s="94"/>
      <c r="E6" s="84"/>
      <c r="F6" s="85" t="s">
        <v>239</v>
      </c>
    </row>
    <row r="7" spans="1:6" x14ac:dyDescent="0.3">
      <c r="A7" s="87" t="s">
        <v>204</v>
      </c>
      <c r="B7" s="92"/>
      <c r="C7" s="93"/>
      <c r="D7" s="94">
        <v>3</v>
      </c>
      <c r="E7" s="84"/>
      <c r="F7" s="85" t="s">
        <v>237</v>
      </c>
    </row>
    <row r="8" spans="1:6" x14ac:dyDescent="0.3">
      <c r="A8" s="87" t="s">
        <v>205</v>
      </c>
      <c r="B8" s="92"/>
      <c r="C8" s="93"/>
      <c r="D8" s="94">
        <v>1</v>
      </c>
      <c r="E8" s="84"/>
      <c r="F8" s="85"/>
    </row>
    <row r="9" spans="1:6" x14ac:dyDescent="0.3">
      <c r="A9" s="88" t="s">
        <v>206</v>
      </c>
      <c r="B9" s="92"/>
      <c r="C9" s="93"/>
      <c r="D9" s="94">
        <v>1</v>
      </c>
      <c r="E9" s="84"/>
      <c r="F9" s="85"/>
    </row>
    <row r="10" spans="1:6" x14ac:dyDescent="0.3">
      <c r="A10" s="87"/>
      <c r="B10" s="92"/>
      <c r="C10" s="93"/>
      <c r="D10" s="94"/>
      <c r="E10" s="84"/>
      <c r="F10" s="85"/>
    </row>
    <row r="11" spans="1:6" ht="15.6" x14ac:dyDescent="0.3">
      <c r="A11" s="89" t="s">
        <v>246</v>
      </c>
      <c r="B11" s="92"/>
      <c r="C11" s="93"/>
      <c r="D11" s="94"/>
      <c r="E11" s="84"/>
      <c r="F11" s="85"/>
    </row>
    <row r="12" spans="1:6" x14ac:dyDescent="0.3">
      <c r="A12" s="87" t="s">
        <v>207</v>
      </c>
      <c r="B12" s="92">
        <v>2</v>
      </c>
      <c r="C12" s="93">
        <v>1</v>
      </c>
      <c r="D12" s="94"/>
      <c r="E12" s="84"/>
      <c r="F12" s="85" t="s">
        <v>236</v>
      </c>
    </row>
    <row r="13" spans="1:6" x14ac:dyDescent="0.3">
      <c r="A13" s="87" t="s">
        <v>208</v>
      </c>
      <c r="B13" s="92"/>
      <c r="C13" s="93"/>
      <c r="D13" s="94">
        <v>1</v>
      </c>
      <c r="E13" s="84"/>
      <c r="F13" s="85" t="s">
        <v>218</v>
      </c>
    </row>
    <row r="14" spans="1:6" x14ac:dyDescent="0.3">
      <c r="A14" s="87"/>
      <c r="B14" s="92"/>
      <c r="C14" s="93"/>
      <c r="D14" s="94"/>
      <c r="E14" s="84"/>
      <c r="F14" s="85"/>
    </row>
    <row r="15" spans="1:6" ht="15.6" x14ac:dyDescent="0.3">
      <c r="A15" s="90" t="s">
        <v>209</v>
      </c>
      <c r="B15" s="92"/>
      <c r="C15" s="93"/>
      <c r="D15" s="94"/>
      <c r="E15" s="84"/>
      <c r="F15" s="85"/>
    </row>
    <row r="16" spans="1:6" x14ac:dyDescent="0.3">
      <c r="A16" s="87" t="s">
        <v>211</v>
      </c>
      <c r="B16" s="92">
        <v>1</v>
      </c>
      <c r="C16" s="93"/>
      <c r="D16" s="94"/>
      <c r="E16" s="84"/>
      <c r="F16" s="85" t="s">
        <v>234</v>
      </c>
    </row>
    <row r="17" spans="1:6" x14ac:dyDescent="0.3">
      <c r="A17" s="87" t="s">
        <v>210</v>
      </c>
      <c r="B17" s="92">
        <v>1</v>
      </c>
      <c r="C17" s="93"/>
      <c r="D17" s="94"/>
      <c r="E17" s="84"/>
      <c r="F17" s="85" t="s">
        <v>235</v>
      </c>
    </row>
    <row r="18" spans="1:6" x14ac:dyDescent="0.3">
      <c r="A18" s="87"/>
      <c r="B18" s="92"/>
      <c r="C18" s="93"/>
      <c r="D18" s="94"/>
      <c r="E18" s="84"/>
      <c r="F18" s="85"/>
    </row>
    <row r="19" spans="1:6" ht="15.6" x14ac:dyDescent="0.3">
      <c r="A19" s="91" t="s">
        <v>212</v>
      </c>
      <c r="B19" s="92" t="s">
        <v>13</v>
      </c>
      <c r="C19" s="93"/>
      <c r="D19" s="94"/>
      <c r="E19" s="84"/>
      <c r="F19" s="85"/>
    </row>
    <row r="20" spans="1:6" ht="29.4" thickBot="1" x14ac:dyDescent="0.35">
      <c r="A20" s="87" t="s">
        <v>254</v>
      </c>
      <c r="B20" s="95">
        <v>1</v>
      </c>
      <c r="C20" s="96"/>
      <c r="D20" s="97"/>
      <c r="E20" s="86"/>
      <c r="F20" s="85" t="s">
        <v>256</v>
      </c>
    </row>
    <row r="21" spans="1:6" ht="15" thickBot="1" x14ac:dyDescent="0.35">
      <c r="A21" s="66"/>
      <c r="B21" s="81">
        <f>SUM(B4:B20)</f>
        <v>14</v>
      </c>
      <c r="C21" s="82">
        <f>SUM(C4:C20)</f>
        <v>8</v>
      </c>
      <c r="D21" s="83">
        <f>SUM(D4:D20)</f>
        <v>6</v>
      </c>
    </row>
    <row r="22" spans="1:6" x14ac:dyDescent="0.3">
      <c r="A22" s="66"/>
      <c r="D22" s="79"/>
    </row>
    <row r="23" spans="1:6" x14ac:dyDescent="0.3">
      <c r="A23" s="66"/>
    </row>
    <row r="24" spans="1:6" x14ac:dyDescent="0.3">
      <c r="A24" s="66"/>
    </row>
    <row r="25" spans="1:6" x14ac:dyDescent="0.3">
      <c r="A25" s="66"/>
    </row>
    <row r="26" spans="1:6" x14ac:dyDescent="0.3">
      <c r="A26" s="66"/>
    </row>
    <row r="27" spans="1:6" x14ac:dyDescent="0.3">
      <c r="A27" s="66"/>
    </row>
    <row r="28" spans="1:6" x14ac:dyDescent="0.3">
      <c r="A28" s="66"/>
    </row>
    <row r="29" spans="1:6" x14ac:dyDescent="0.3">
      <c r="A29" s="66"/>
    </row>
    <row r="30" spans="1:6" x14ac:dyDescent="0.3">
      <c r="A30" s="66"/>
    </row>
    <row r="31" spans="1:6" x14ac:dyDescent="0.3">
      <c r="A31" s="66"/>
    </row>
    <row r="32" spans="1:6" x14ac:dyDescent="0.3">
      <c r="A32" s="66"/>
    </row>
    <row r="33" spans="1:1" x14ac:dyDescent="0.3">
      <c r="A33" s="66"/>
    </row>
    <row r="34" spans="1:1" x14ac:dyDescent="0.3">
      <c r="A34" s="66"/>
    </row>
    <row r="35" spans="1:1" x14ac:dyDescent="0.3">
      <c r="A35" s="66"/>
    </row>
    <row r="36" spans="1:1" x14ac:dyDescent="0.3">
      <c r="A36" s="66"/>
    </row>
    <row r="37" spans="1:1" x14ac:dyDescent="0.3">
      <c r="A37" s="66"/>
    </row>
    <row r="38" spans="1:1" x14ac:dyDescent="0.3">
      <c r="A38" s="66"/>
    </row>
  </sheetData>
  <mergeCells count="1">
    <mergeCell ref="B1:D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32 Bed Projection</vt:lpstr>
      <vt:lpstr>Staff, notes</vt:lpstr>
      <vt:lpstr>'32 Bed Projection'!Print_Area</vt:lpstr>
      <vt:lpstr>'32 Bed Projection'!Print_Titles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Adkins</dc:creator>
  <cp:lastModifiedBy>User</cp:lastModifiedBy>
  <cp:lastPrinted>2022-10-14T00:12:11Z</cp:lastPrinted>
  <dcterms:created xsi:type="dcterms:W3CDTF">2011-04-28T20:18:42Z</dcterms:created>
  <dcterms:modified xsi:type="dcterms:W3CDTF">2022-11-01T17:22:03Z</dcterms:modified>
</cp:coreProperties>
</file>